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240" windowHeight="8475"/>
  </bookViews>
  <sheets>
    <sheet name="Properties" sheetId="1" r:id="rId1"/>
    <sheet name="Contacts" sheetId="2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S5" i="1" l="1"/>
  <c r="T5" i="1" s="1"/>
  <c r="O5" i="1"/>
  <c r="G5" i="1"/>
  <c r="L5" i="1" s="1"/>
  <c r="P5" i="1" s="1"/>
  <c r="S19" i="1"/>
  <c r="T19" i="1" s="1"/>
  <c r="O19" i="1"/>
  <c r="G19" i="1"/>
  <c r="L19" i="1" s="1"/>
  <c r="P19" i="1" s="1"/>
  <c r="S18" i="1"/>
  <c r="T18" i="1" s="1"/>
  <c r="O18" i="1"/>
  <c r="G18" i="1"/>
  <c r="J18" i="1" s="1"/>
  <c r="S17" i="1"/>
  <c r="T17" i="1" s="1"/>
  <c r="G17" i="1"/>
  <c r="J17" i="1" s="1"/>
  <c r="O17" i="1"/>
  <c r="J5" i="1" l="1"/>
  <c r="L18" i="1"/>
  <c r="P18" i="1" s="1"/>
  <c r="L17" i="1"/>
  <c r="P17" i="1" s="1"/>
  <c r="J19" i="1"/>
  <c r="S16" i="1"/>
  <c r="T16" i="1" s="1"/>
  <c r="O16" i="1"/>
  <c r="G16" i="1"/>
  <c r="S15" i="1"/>
  <c r="T15" i="1"/>
  <c r="O15" i="1"/>
  <c r="L15" i="1"/>
  <c r="P15" i="1" s="1"/>
  <c r="G15" i="1"/>
  <c r="J15" i="1" s="1"/>
  <c r="L16" i="1" l="1"/>
  <c r="P16" i="1" s="1"/>
  <c r="J16" i="1"/>
  <c r="R25" i="1"/>
  <c r="R24" i="1" s="1"/>
  <c r="N24" i="1"/>
  <c r="S21" i="1"/>
  <c r="S20" i="1"/>
  <c r="T20" i="1" s="1"/>
  <c r="O20" i="1"/>
  <c r="G20" i="1"/>
  <c r="L20" i="1" l="1"/>
  <c r="P20" i="1" s="1"/>
  <c r="J20" i="1"/>
  <c r="O21" i="1"/>
  <c r="T21" i="1"/>
  <c r="G21" i="1"/>
  <c r="J21" i="1" s="1"/>
  <c r="L21" i="1" l="1"/>
  <c r="P21" i="1" s="1"/>
  <c r="S28" i="1" l="1"/>
  <c r="T28" i="1" s="1"/>
  <c r="O28" i="1"/>
  <c r="G28" i="1"/>
  <c r="L28" i="1" l="1"/>
  <c r="P28" i="1" s="1"/>
  <c r="J28" i="1"/>
  <c r="W28" i="1"/>
  <c r="S14" i="1"/>
  <c r="T14" i="1" s="1"/>
  <c r="O14" i="1"/>
  <c r="G14" i="1"/>
  <c r="J14" i="1" s="1"/>
  <c r="S13" i="1"/>
  <c r="T13" i="1" s="1"/>
  <c r="O13" i="1"/>
  <c r="G13" i="1"/>
  <c r="J13" i="1" s="1"/>
  <c r="L13" i="1" l="1"/>
  <c r="P13" i="1" s="1"/>
  <c r="L14" i="1"/>
  <c r="P14" i="1" s="1"/>
  <c r="S12" i="1"/>
  <c r="T12" i="1" s="1"/>
  <c r="O12" i="1"/>
  <c r="G12" i="1"/>
  <c r="L12" i="1" l="1"/>
  <c r="P12" i="1" s="1"/>
  <c r="J12" i="1"/>
  <c r="O11" i="1"/>
  <c r="G11" i="1"/>
  <c r="J11" i="1" s="1"/>
  <c r="O10" i="1"/>
  <c r="O9" i="1"/>
  <c r="G10" i="1"/>
  <c r="J10" i="1" s="1"/>
  <c r="G9" i="1"/>
  <c r="J9" i="1" s="1"/>
  <c r="Q8" i="1"/>
  <c r="S8" i="1" s="1"/>
  <c r="T8" i="1" s="1"/>
  <c r="O8" i="1"/>
  <c r="G8" i="1"/>
  <c r="J8" i="1" s="1"/>
  <c r="S11" i="1"/>
  <c r="T11" i="1" s="1"/>
  <c r="S10" i="1"/>
  <c r="T10" i="1" s="1"/>
  <c r="S9" i="1"/>
  <c r="T9" i="1" s="1"/>
  <c r="Q7" i="1"/>
  <c r="S7" i="1" s="1"/>
  <c r="T7" i="1" s="1"/>
  <c r="O7" i="1"/>
  <c r="G7" i="1"/>
  <c r="J7" i="1" s="1"/>
  <c r="S6" i="1"/>
  <c r="T6" i="1" s="1"/>
  <c r="O6" i="1"/>
  <c r="G6" i="1"/>
  <c r="L6" i="1" l="1"/>
  <c r="P6" i="1" s="1"/>
  <c r="J6" i="1"/>
  <c r="L11" i="1"/>
  <c r="P11" i="1" s="1"/>
  <c r="L10" i="1"/>
  <c r="P10" i="1" s="1"/>
  <c r="L9" i="1"/>
  <c r="L8" i="1"/>
  <c r="P8" i="1" s="1"/>
  <c r="L7" i="1"/>
  <c r="P7" i="1" s="1"/>
  <c r="Q25" i="1"/>
  <c r="Q24" i="1" s="1"/>
  <c r="P9" i="1" l="1"/>
  <c r="S4" i="1"/>
  <c r="T4" i="1" s="1"/>
  <c r="S22" i="1"/>
  <c r="T22" i="1" s="1"/>
  <c r="S23" i="1"/>
  <c r="T23" i="1" s="1"/>
  <c r="T24" i="1" l="1"/>
  <c r="T25" i="1" s="1"/>
  <c r="S24" i="1"/>
  <c r="S25" i="1" s="1"/>
  <c r="C5" i="3"/>
  <c r="F25" i="1" l="1"/>
  <c r="O4" i="1"/>
  <c r="G4" i="1"/>
  <c r="J4" i="1" s="1"/>
  <c r="L4" i="1" l="1"/>
  <c r="P4" i="1" l="1"/>
  <c r="A1" i="3" l="1"/>
  <c r="G23" i="1" l="1"/>
  <c r="G22" i="1"/>
  <c r="O22" i="1"/>
  <c r="L22" i="1" l="1"/>
  <c r="P22" i="1" s="1"/>
  <c r="J22" i="1"/>
  <c r="L23" i="1"/>
  <c r="P23" i="1" s="1"/>
  <c r="J23" i="1"/>
  <c r="L25" i="1"/>
  <c r="G24" i="1"/>
  <c r="O23" i="1"/>
  <c r="O24" i="1" s="1"/>
  <c r="L24" i="1" l="1"/>
  <c r="J25" i="1"/>
  <c r="P24" i="1"/>
  <c r="P25" i="1" s="1"/>
  <c r="J24" i="1"/>
</calcChain>
</file>

<file path=xl/sharedStrings.xml><?xml version="1.0" encoding="utf-8"?>
<sst xmlns="http://schemas.openxmlformats.org/spreadsheetml/2006/main" count="182" uniqueCount="113">
  <si>
    <t>M2</t>
  </si>
  <si>
    <t>SF</t>
  </si>
  <si>
    <t>Million Pesos</t>
  </si>
  <si>
    <t xml:space="preserve"> </t>
  </si>
  <si>
    <t>BR/BA</t>
  </si>
  <si>
    <t>First American</t>
  </si>
  <si>
    <t>Exchange Rate =</t>
  </si>
  <si>
    <t>Zone</t>
  </si>
  <si>
    <t>Company</t>
  </si>
  <si>
    <t>Work</t>
  </si>
  <si>
    <t>Base price</t>
  </si>
  <si>
    <t>Total</t>
  </si>
  <si>
    <t>Tot $/m2</t>
  </si>
  <si>
    <t>SubT $/m2</t>
  </si>
  <si>
    <t>Comments</t>
  </si>
  <si>
    <t>P49</t>
  </si>
  <si>
    <t>P44</t>
  </si>
  <si>
    <t>COP340 turnkey</t>
  </si>
  <si>
    <t>Link</t>
  </si>
  <si>
    <t>2/2.5</t>
  </si>
  <si>
    <t>http://www.firstamericanrealtymedellin.com/totoverde611.html</t>
  </si>
  <si>
    <t>http://www.firstamericanrealtymedellin.com/sotoverde_604.html</t>
  </si>
  <si>
    <t>4/3</t>
  </si>
  <si>
    <t>3/2.5</t>
  </si>
  <si>
    <t>Park 10</t>
  </si>
  <si>
    <t>2/2</t>
  </si>
  <si>
    <t>Averages</t>
  </si>
  <si>
    <r>
      <rPr>
        <b/>
        <sz val="12"/>
        <color theme="1"/>
        <rFont val="Calibri"/>
        <family val="2"/>
        <scheme val="minor"/>
      </rPr>
      <t>Drop:</t>
    </r>
    <r>
      <rPr>
        <sz val="12"/>
        <color theme="1"/>
        <rFont val="Calibri"/>
        <family val="2"/>
        <scheme val="minor"/>
      </rPr>
      <t xml:space="preserve"> Overpriced</t>
    </r>
  </si>
  <si>
    <t>Unit</t>
  </si>
  <si>
    <t>Sotoverde 604</t>
  </si>
  <si>
    <t>Rank</t>
  </si>
  <si>
    <t>Elba</t>
  </si>
  <si>
    <t>Code</t>
  </si>
  <si>
    <t>Total $/month</t>
  </si>
  <si>
    <t>Provenza</t>
  </si>
  <si>
    <t xml:space="preserve">http://www.firstamericanrealtymedellin.com/puentepiedra1203.html </t>
  </si>
  <si>
    <t>310-463-2163</t>
  </si>
  <si>
    <t>300-650-8519</t>
  </si>
  <si>
    <t>Marjorie White</t>
  </si>
  <si>
    <t>Name</t>
  </si>
  <si>
    <t xml:space="preserve">Phone </t>
  </si>
  <si>
    <t>Phone</t>
  </si>
  <si>
    <t xml:space="preserve">e-mail </t>
  </si>
  <si>
    <t>mayowr@une.net.co</t>
  </si>
  <si>
    <t>Angela Zuluaga R.</t>
  </si>
  <si>
    <t>313-614-0477</t>
  </si>
  <si>
    <t>(4) 444-0077</t>
  </si>
  <si>
    <t>angelacubillos@msn.com</t>
  </si>
  <si>
    <t>312-726-5493</t>
  </si>
  <si>
    <t>Sotoverde 608</t>
  </si>
  <si>
    <t>Good property, brand new</t>
  </si>
  <si>
    <t>Tomatera</t>
  </si>
  <si>
    <t>313-767-7447</t>
  </si>
  <si>
    <t>Vicki Duque</t>
  </si>
  <si>
    <t>310-469-6742</t>
  </si>
  <si>
    <t>315-523-3692</t>
  </si>
  <si>
    <t>T26</t>
  </si>
  <si>
    <t>Rodrigo</t>
  </si>
  <si>
    <t>Angela Maria</t>
  </si>
  <si>
    <t>Juan Estaban (Owner of Ed Caobos 301)</t>
  </si>
  <si>
    <t>314-701-8887</t>
  </si>
  <si>
    <t>Carlos Cardenes (taxista who had Monticelo units)</t>
  </si>
  <si>
    <t>316-519-6031</t>
  </si>
  <si>
    <t>Luis Filipe Garces</t>
  </si>
  <si>
    <t>Total $/Year</t>
  </si>
  <si>
    <t>Gastos (x1000)</t>
  </si>
  <si>
    <t>BROU</t>
  </si>
  <si>
    <t>Schwab Cash</t>
  </si>
  <si>
    <t>Loan</t>
  </si>
  <si>
    <t>Distribution</t>
  </si>
  <si>
    <t>2/3</t>
  </si>
  <si>
    <t>Vizcaya</t>
  </si>
  <si>
    <t>El Vergel 1901</t>
  </si>
  <si>
    <t>Study, double bed fits in 2nd BR, pool sauna</t>
  </si>
  <si>
    <t>Tramonte 101</t>
  </si>
  <si>
    <t>Tramonte 204</t>
  </si>
  <si>
    <t>Provenza Life 1002</t>
  </si>
  <si>
    <t>Provenza Life 1102</t>
  </si>
  <si>
    <t>Sta. Ma. Los Ang</t>
  </si>
  <si>
    <t>Zen 404</t>
  </si>
  <si>
    <t>New</t>
  </si>
  <si>
    <t>Predial (x1000)</t>
  </si>
  <si>
    <t>San Fernando</t>
  </si>
  <si>
    <t>Montecarlo Real 9xx</t>
  </si>
  <si>
    <t>3/3</t>
  </si>
  <si>
    <t>White bldg with balconies</t>
  </si>
  <si>
    <t>El Salento 1102</t>
  </si>
  <si>
    <t>3/2</t>
  </si>
  <si>
    <t>Two blocks behind Sta Fe Mall, up hill</t>
  </si>
  <si>
    <t>Santa Fe 502</t>
  </si>
  <si>
    <t>Castilla</t>
  </si>
  <si>
    <t>3/4</t>
  </si>
  <si>
    <t>Castilla de la Quinta</t>
  </si>
  <si>
    <t>Hot sun in PM</t>
  </si>
  <si>
    <t>Puente piedra 1203</t>
  </si>
  <si>
    <t>P66</t>
  </si>
  <si>
    <t>Sotoverde 601</t>
  </si>
  <si>
    <t>Puente piedra 2502</t>
  </si>
  <si>
    <t>3/3.5</t>
  </si>
  <si>
    <t>(*1000)</t>
  </si>
  <si>
    <t>(*1,000,000)</t>
  </si>
  <si>
    <t>Alejandria Alto</t>
  </si>
  <si>
    <t>Setai 1304</t>
  </si>
  <si>
    <t>Altos de Alejandria 602</t>
  </si>
  <si>
    <t>Prk</t>
  </si>
  <si>
    <t>Str</t>
  </si>
  <si>
    <t>Santa Fe</t>
  </si>
  <si>
    <t>Atelier 1703</t>
  </si>
  <si>
    <t>Next Avenue 804</t>
  </si>
  <si>
    <t>Next Avenue 603</t>
  </si>
  <si>
    <t>Atelier 1503</t>
  </si>
  <si>
    <t>Ceylan</t>
  </si>
  <si>
    <t>Oviedo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</si>
</sst>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$COP]\ #,##0"/>
    <numFmt numFmtId="166" formatCode="[$COP]\ 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ill="1"/>
    <xf numFmtId="165" fontId="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1"/>
    <xf numFmtId="0" fontId="5" fillId="0" borderId="0" xfId="0" applyFont="1" applyFill="1"/>
    <xf numFmtId="164" fontId="1" fillId="0" borderId="0" xfId="0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Font="1"/>
    <xf numFmtId="0" fontId="0" fillId="2" borderId="0" xfId="0" applyFill="1"/>
    <xf numFmtId="165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0" borderId="0" xfId="1" applyAlignment="1">
      <alignment horizontal="center"/>
    </xf>
    <xf numFmtId="166" fontId="1" fillId="0" borderId="0" xfId="0" applyNumberFormat="1" applyFont="1" applyAlignment="1">
      <alignment horizontal="right"/>
    </xf>
    <xf numFmtId="165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ont="1" applyFill="1"/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4" fillId="0" borderId="0" xfId="1" applyFill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rstamericanrealtymedellin.com/puentepiedra1203.html" TargetMode="External"/><Relationship Id="rId2" Type="http://schemas.openxmlformats.org/officeDocument/2006/relationships/hyperlink" Target="http://www.firstamericanrealtymedellin.com/sotoverde_604.html" TargetMode="External"/><Relationship Id="rId1" Type="http://schemas.openxmlformats.org/officeDocument/2006/relationships/hyperlink" Target="http://www.firstamericanrealtymedellin.com/totoverde61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ngelacubillos@msn.com" TargetMode="External"/><Relationship Id="rId1" Type="http://schemas.openxmlformats.org/officeDocument/2006/relationships/hyperlink" Target="mailto:mayowr@une.net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I10" sqref="I10"/>
    </sheetView>
  </sheetViews>
  <sheetFormatPr defaultRowHeight="15.75" x14ac:dyDescent="0.25"/>
  <cols>
    <col min="1" max="1" width="15" customWidth="1"/>
    <col min="2" max="2" width="13.75" customWidth="1"/>
    <col min="3" max="3" width="9.25" customWidth="1"/>
    <col min="4" max="4" width="18.875" customWidth="1"/>
    <col min="5" max="5" width="5.5" customWidth="1"/>
    <col min="6" max="6" width="8.25" style="12" customWidth="1"/>
    <col min="7" max="7" width="9.5" style="15" customWidth="1"/>
    <col min="8" max="8" width="4" style="7" customWidth="1"/>
    <col min="9" max="9" width="2.625" style="7" customWidth="1"/>
    <col min="10" max="10" width="9.5" style="15" customWidth="1"/>
    <col min="11" max="11" width="8" style="15" customWidth="1"/>
    <col min="12" max="12" width="10.25" style="1" customWidth="1"/>
    <col min="13" max="13" width="8.125" style="8" customWidth="1"/>
    <col min="14" max="14" width="6.375" style="6" customWidth="1"/>
    <col min="15" max="15" width="7.25" style="7" customWidth="1"/>
    <col min="16" max="16" width="10.5" style="4" customWidth="1"/>
    <col min="17" max="17" width="8.5" style="4" customWidth="1"/>
    <col min="18" max="18" width="11.125" style="4" customWidth="1"/>
    <col min="19" max="19" width="8.5" style="4" customWidth="1"/>
    <col min="20" max="20" width="9.75" style="4" customWidth="1"/>
    <col min="21" max="21" width="42" customWidth="1"/>
  </cols>
  <sheetData>
    <row r="1" spans="1:22" ht="18.75" x14ac:dyDescent="0.3">
      <c r="A1" t="s">
        <v>3</v>
      </c>
      <c r="B1" s="55" t="s">
        <v>6</v>
      </c>
      <c r="C1" s="55"/>
      <c r="D1" s="11">
        <v>1814</v>
      </c>
      <c r="E1" s="11"/>
      <c r="G1" s="13"/>
      <c r="H1" s="53"/>
      <c r="I1" s="53"/>
      <c r="J1" s="13"/>
      <c r="K1" s="13"/>
    </row>
    <row r="2" spans="1:22" s="29" customFormat="1" ht="9" customHeight="1" x14ac:dyDescent="0.25">
      <c r="F2" s="30"/>
      <c r="G2" s="31"/>
      <c r="H2" s="35"/>
      <c r="I2" s="35"/>
      <c r="J2" s="31"/>
      <c r="K2" s="31" t="s">
        <v>3</v>
      </c>
      <c r="L2" s="32"/>
      <c r="M2" s="33"/>
      <c r="N2" s="34"/>
      <c r="O2" s="35"/>
      <c r="P2" s="36"/>
      <c r="Q2" s="36"/>
      <c r="R2" s="36"/>
      <c r="S2" s="36"/>
      <c r="T2" s="36"/>
    </row>
    <row r="3" spans="1:22" ht="31.5" x14ac:dyDescent="0.25">
      <c r="A3" s="2" t="s">
        <v>7</v>
      </c>
      <c r="B3" s="2" t="s">
        <v>8</v>
      </c>
      <c r="C3" s="2" t="s">
        <v>32</v>
      </c>
      <c r="D3" s="2" t="s">
        <v>28</v>
      </c>
      <c r="E3" s="2" t="s">
        <v>30</v>
      </c>
      <c r="F3" s="25" t="s">
        <v>2</v>
      </c>
      <c r="G3" s="14" t="s">
        <v>10</v>
      </c>
      <c r="H3" s="52" t="s">
        <v>104</v>
      </c>
      <c r="I3" s="52" t="s">
        <v>105</v>
      </c>
      <c r="J3" s="26" t="s">
        <v>13</v>
      </c>
      <c r="K3" s="14" t="s">
        <v>9</v>
      </c>
      <c r="L3" s="3" t="s">
        <v>11</v>
      </c>
      <c r="M3" s="9" t="s">
        <v>4</v>
      </c>
      <c r="N3" s="2" t="s">
        <v>0</v>
      </c>
      <c r="O3" s="5" t="s">
        <v>1</v>
      </c>
      <c r="P3" s="27" t="s">
        <v>12</v>
      </c>
      <c r="Q3" s="27" t="s">
        <v>65</v>
      </c>
      <c r="R3" s="27" t="s">
        <v>81</v>
      </c>
      <c r="S3" s="27" t="s">
        <v>33</v>
      </c>
      <c r="T3" s="27" t="s">
        <v>64</v>
      </c>
      <c r="U3" s="2" t="s">
        <v>14</v>
      </c>
      <c r="V3" s="2" t="s">
        <v>18</v>
      </c>
    </row>
    <row r="4" spans="1:22" s="10" customFormat="1" x14ac:dyDescent="0.25">
      <c r="A4" s="17" t="s">
        <v>51</v>
      </c>
      <c r="B4" s="17" t="s">
        <v>5</v>
      </c>
      <c r="C4" s="16" t="s">
        <v>56</v>
      </c>
      <c r="D4" s="16" t="s">
        <v>94</v>
      </c>
      <c r="E4" s="16" t="s">
        <v>3</v>
      </c>
      <c r="F4" s="39">
        <v>355</v>
      </c>
      <c r="G4" s="40">
        <f t="shared" ref="G4:G19" si="0">(F4/$D$1)*1000000</f>
        <v>195700.11025358326</v>
      </c>
      <c r="H4" s="43">
        <v>2</v>
      </c>
      <c r="I4" s="43">
        <v>1</v>
      </c>
      <c r="J4" s="40">
        <f>(G4-(H4*13000000/$D$1)-(I4*2000000/$D$1))/N4</f>
        <v>1386.6508353829195</v>
      </c>
      <c r="K4" s="40">
        <v>2000</v>
      </c>
      <c r="L4" s="41">
        <f t="shared" ref="L4:L18" si="1">G4+K4</f>
        <v>197700.11025358326</v>
      </c>
      <c r="M4" s="42" t="s">
        <v>23</v>
      </c>
      <c r="N4" s="21">
        <v>130</v>
      </c>
      <c r="O4" s="43">
        <f t="shared" ref="O4:O19" si="2">N4*10.76</f>
        <v>1398.8</v>
      </c>
      <c r="P4" s="44">
        <f t="shared" ref="P4:P18" si="3">L4/N4</f>
        <v>1520.7700788737175</v>
      </c>
      <c r="Q4" s="45">
        <v>234</v>
      </c>
      <c r="R4" s="45">
        <v>995</v>
      </c>
      <c r="S4" s="40">
        <f t="shared" ref="S4:S16" si="4">SUM(((Q4+(R4/3)))*1000)/$D$1</f>
        <v>311.83388460124957</v>
      </c>
      <c r="T4" s="40">
        <f t="shared" ref="T4:T19" si="5">S4*12</f>
        <v>3742.0066152149948</v>
      </c>
      <c r="U4" s="10" t="s">
        <v>50</v>
      </c>
      <c r="V4" s="54" t="s">
        <v>35</v>
      </c>
    </row>
    <row r="5" spans="1:22" s="10" customFormat="1" x14ac:dyDescent="0.25">
      <c r="A5" s="17" t="s">
        <v>112</v>
      </c>
      <c r="B5" s="17" t="s">
        <v>38</v>
      </c>
      <c r="C5" s="16"/>
      <c r="D5" s="16" t="s">
        <v>107</v>
      </c>
      <c r="E5" s="16" t="s">
        <v>3</v>
      </c>
      <c r="F5" s="39">
        <v>350</v>
      </c>
      <c r="G5" s="40">
        <f t="shared" si="0"/>
        <v>192943.77067254687</v>
      </c>
      <c r="H5" s="43">
        <v>2</v>
      </c>
      <c r="I5" s="43">
        <v>1</v>
      </c>
      <c r="J5" s="40">
        <f t="shared" ref="J5" si="6">(G5-(H5*13000000/$D$1)-(I5*2000000/$D$1))/N5</f>
        <v>1324.6885747667397</v>
      </c>
      <c r="K5" s="40">
        <v>500</v>
      </c>
      <c r="L5" s="41">
        <f t="shared" ref="L5" si="7">G5+K5</f>
        <v>193443.77067254687</v>
      </c>
      <c r="M5" s="42" t="s">
        <v>70</v>
      </c>
      <c r="N5" s="21">
        <v>134</v>
      </c>
      <c r="O5" s="43">
        <f t="shared" si="2"/>
        <v>1441.84</v>
      </c>
      <c r="P5" s="44">
        <f t="shared" ref="P5" si="8">L5/N5</f>
        <v>1443.6102288996035</v>
      </c>
      <c r="Q5" s="45">
        <v>300</v>
      </c>
      <c r="R5" s="45">
        <v>680</v>
      </c>
      <c r="S5" s="40">
        <f t="shared" ref="S5" si="9">SUM(((Q5+(R5/3)))*1000)/$D$1</f>
        <v>290.3344358691657</v>
      </c>
      <c r="T5" s="40">
        <f t="shared" si="5"/>
        <v>3484.0132304299887</v>
      </c>
      <c r="U5" s="46"/>
      <c r="V5" s="54"/>
    </row>
    <row r="6" spans="1:22" s="10" customFormat="1" x14ac:dyDescent="0.25">
      <c r="A6" s="17" t="s">
        <v>71</v>
      </c>
      <c r="B6" s="17" t="s">
        <v>38</v>
      </c>
      <c r="C6" s="16"/>
      <c r="D6" s="16" t="s">
        <v>72</v>
      </c>
      <c r="E6" s="16"/>
      <c r="F6" s="39">
        <v>230</v>
      </c>
      <c r="G6" s="40">
        <f t="shared" si="0"/>
        <v>126791.62072767364</v>
      </c>
      <c r="H6" s="43">
        <v>2</v>
      </c>
      <c r="I6" s="43">
        <v>1</v>
      </c>
      <c r="J6" s="40">
        <f t="shared" ref="J6:J23" si="10">(G6-(H6*13000000/$D$1)-(I6*2000000/$D$1))/N6</f>
        <v>1251.1923491446055</v>
      </c>
      <c r="K6" s="40">
        <v>500</v>
      </c>
      <c r="L6" s="41">
        <f t="shared" si="1"/>
        <v>127291.62072767364</v>
      </c>
      <c r="M6" s="42" t="s">
        <v>25</v>
      </c>
      <c r="N6" s="21">
        <v>89</v>
      </c>
      <c r="O6" s="43">
        <f t="shared" si="2"/>
        <v>957.64</v>
      </c>
      <c r="P6" s="44">
        <f t="shared" si="3"/>
        <v>1430.2429295244228</v>
      </c>
      <c r="Q6" s="45">
        <v>201</v>
      </c>
      <c r="R6" s="45">
        <v>351</v>
      </c>
      <c r="S6" s="40">
        <f t="shared" si="4"/>
        <v>175.30319735391402</v>
      </c>
      <c r="T6" s="40">
        <f t="shared" si="5"/>
        <v>2103.6383682469682</v>
      </c>
      <c r="U6" s="46" t="s">
        <v>73</v>
      </c>
      <c r="V6" s="54"/>
    </row>
    <row r="7" spans="1:22" s="10" customFormat="1" x14ac:dyDescent="0.25">
      <c r="A7" s="17" t="s">
        <v>71</v>
      </c>
      <c r="B7" s="17" t="s">
        <v>38</v>
      </c>
      <c r="C7" s="16" t="s">
        <v>80</v>
      </c>
      <c r="D7" s="16" t="s">
        <v>74</v>
      </c>
      <c r="E7" s="16"/>
      <c r="F7" s="39">
        <v>438</v>
      </c>
      <c r="G7" s="40">
        <f t="shared" si="0"/>
        <v>241455.34729878721</v>
      </c>
      <c r="H7" s="43">
        <v>2</v>
      </c>
      <c r="I7" s="43">
        <v>1</v>
      </c>
      <c r="J7" s="40">
        <f t="shared" si="10"/>
        <v>1867.9326086362269</v>
      </c>
      <c r="K7" s="40">
        <v>2000</v>
      </c>
      <c r="L7" s="41">
        <f t="shared" si="1"/>
        <v>243455.34729878721</v>
      </c>
      <c r="M7" s="42" t="s">
        <v>70</v>
      </c>
      <c r="N7" s="21">
        <v>121</v>
      </c>
      <c r="O7" s="43">
        <f t="shared" si="2"/>
        <v>1301.96</v>
      </c>
      <c r="P7" s="44">
        <f t="shared" si="3"/>
        <v>2012.0276636263407</v>
      </c>
      <c r="Q7" s="45">
        <f>2700*N7/1000</f>
        <v>326.7</v>
      </c>
      <c r="R7" s="45">
        <v>750</v>
      </c>
      <c r="S7" s="40">
        <f t="shared" si="4"/>
        <v>317.91620727673649</v>
      </c>
      <c r="T7" s="40">
        <f t="shared" si="5"/>
        <v>3814.9944873208378</v>
      </c>
      <c r="U7" s="46"/>
      <c r="V7" s="54"/>
    </row>
    <row r="8" spans="1:22" s="10" customFormat="1" x14ac:dyDescent="0.25">
      <c r="A8" s="17" t="s">
        <v>71</v>
      </c>
      <c r="B8" s="17" t="s">
        <v>38</v>
      </c>
      <c r="C8" s="16" t="s">
        <v>80</v>
      </c>
      <c r="D8" s="16" t="s">
        <v>75</v>
      </c>
      <c r="E8" s="16"/>
      <c r="F8" s="39">
        <v>404</v>
      </c>
      <c r="G8" s="40">
        <f t="shared" si="0"/>
        <v>222712.23814773979</v>
      </c>
      <c r="H8" s="43">
        <v>2</v>
      </c>
      <c r="I8" s="43">
        <v>1</v>
      </c>
      <c r="J8" s="40">
        <f t="shared" si="10"/>
        <v>1802.4064042950961</v>
      </c>
      <c r="K8" s="40">
        <v>2000</v>
      </c>
      <c r="L8" s="41">
        <f t="shared" si="1"/>
        <v>224712.23814773979</v>
      </c>
      <c r="M8" s="42" t="s">
        <v>25</v>
      </c>
      <c r="N8" s="21">
        <v>115</v>
      </c>
      <c r="O8" s="43">
        <f t="shared" si="2"/>
        <v>1237.3999999999999</v>
      </c>
      <c r="P8" s="44">
        <f t="shared" si="3"/>
        <v>1954.0194621542589</v>
      </c>
      <c r="Q8" s="45">
        <f>2700*N8/1000</f>
        <v>310.5</v>
      </c>
      <c r="R8" s="45">
        <v>750</v>
      </c>
      <c r="S8" s="40">
        <f t="shared" si="4"/>
        <v>308.98566703417862</v>
      </c>
      <c r="T8" s="40">
        <f t="shared" si="5"/>
        <v>3707.8280044101434</v>
      </c>
      <c r="U8" s="46"/>
      <c r="V8" s="54"/>
    </row>
    <row r="9" spans="1:22" s="10" customFormat="1" x14ac:dyDescent="0.25">
      <c r="A9" s="17" t="s">
        <v>34</v>
      </c>
      <c r="B9" s="17" t="s">
        <v>38</v>
      </c>
      <c r="C9" s="16"/>
      <c r="D9" s="16" t="s">
        <v>76</v>
      </c>
      <c r="E9" s="16"/>
      <c r="F9" s="39">
        <v>280</v>
      </c>
      <c r="G9" s="40">
        <f t="shared" si="0"/>
        <v>154355.01653803748</v>
      </c>
      <c r="H9" s="43">
        <v>1</v>
      </c>
      <c r="I9" s="43">
        <v>1</v>
      </c>
      <c r="J9" s="40">
        <f t="shared" si="10"/>
        <v>1760.0722625894982</v>
      </c>
      <c r="K9" s="40">
        <v>3000</v>
      </c>
      <c r="L9" s="41">
        <f t="shared" si="1"/>
        <v>157355.01653803748</v>
      </c>
      <c r="M9" s="42" t="s">
        <v>25</v>
      </c>
      <c r="N9" s="21">
        <v>83</v>
      </c>
      <c r="O9" s="43">
        <f t="shared" si="2"/>
        <v>893.07999999999993</v>
      </c>
      <c r="P9" s="44">
        <f t="shared" si="3"/>
        <v>1895.8435727474396</v>
      </c>
      <c r="Q9" s="45">
        <v>301</v>
      </c>
      <c r="R9" s="45">
        <v>680</v>
      </c>
      <c r="S9" s="40">
        <f t="shared" si="4"/>
        <v>290.88570378537298</v>
      </c>
      <c r="T9" s="40">
        <f t="shared" si="5"/>
        <v>3490.628445424476</v>
      </c>
      <c r="U9" s="46"/>
      <c r="V9" s="54"/>
    </row>
    <row r="10" spans="1:22" s="10" customFormat="1" x14ac:dyDescent="0.25">
      <c r="A10" s="17" t="s">
        <v>34</v>
      </c>
      <c r="B10" s="17" t="s">
        <v>38</v>
      </c>
      <c r="C10" s="16"/>
      <c r="D10" s="16" t="s">
        <v>77</v>
      </c>
      <c r="E10" s="16"/>
      <c r="F10" s="39">
        <v>290</v>
      </c>
      <c r="G10" s="40">
        <f t="shared" si="0"/>
        <v>159867.69570011026</v>
      </c>
      <c r="H10" s="43">
        <v>2</v>
      </c>
      <c r="I10" s="43">
        <v>1</v>
      </c>
      <c r="J10" s="40">
        <f t="shared" si="10"/>
        <v>1740.1469162205603</v>
      </c>
      <c r="K10" s="40">
        <v>3000</v>
      </c>
      <c r="L10" s="41">
        <f t="shared" si="1"/>
        <v>162867.69570011026</v>
      </c>
      <c r="M10" s="42" t="s">
        <v>25</v>
      </c>
      <c r="N10" s="21">
        <v>83</v>
      </c>
      <c r="O10" s="43">
        <f t="shared" si="2"/>
        <v>893.07999999999993</v>
      </c>
      <c r="P10" s="44">
        <f t="shared" si="3"/>
        <v>1962.261393977232</v>
      </c>
      <c r="Q10" s="45">
        <v>301</v>
      </c>
      <c r="R10" s="45">
        <v>680</v>
      </c>
      <c r="S10" s="40">
        <f t="shared" si="4"/>
        <v>290.88570378537298</v>
      </c>
      <c r="T10" s="40">
        <f t="shared" si="5"/>
        <v>3490.628445424476</v>
      </c>
      <c r="U10" s="46"/>
      <c r="V10" s="54"/>
    </row>
    <row r="11" spans="1:22" s="10" customFormat="1" x14ac:dyDescent="0.25">
      <c r="A11" s="17" t="s">
        <v>78</v>
      </c>
      <c r="B11" s="17" t="s">
        <v>38</v>
      </c>
      <c r="C11" s="16"/>
      <c r="D11" s="16" t="s">
        <v>79</v>
      </c>
      <c r="E11" s="16"/>
      <c r="F11" s="39">
        <v>298</v>
      </c>
      <c r="G11" s="40">
        <f t="shared" si="0"/>
        <v>164277.83902976848</v>
      </c>
      <c r="H11" s="43">
        <v>2</v>
      </c>
      <c r="I11" s="43">
        <v>1</v>
      </c>
      <c r="J11" s="40">
        <f t="shared" si="10"/>
        <v>1518.799360979232</v>
      </c>
      <c r="K11" s="40">
        <v>500</v>
      </c>
      <c r="L11" s="41">
        <f t="shared" si="1"/>
        <v>164777.83902976848</v>
      </c>
      <c r="M11" s="42" t="s">
        <v>25</v>
      </c>
      <c r="N11" s="21">
        <v>98</v>
      </c>
      <c r="O11" s="43">
        <f t="shared" si="2"/>
        <v>1054.48</v>
      </c>
      <c r="P11" s="44">
        <f t="shared" si="3"/>
        <v>1681.4065207119233</v>
      </c>
      <c r="Q11" s="45">
        <v>332</v>
      </c>
      <c r="R11" s="45">
        <v>435</v>
      </c>
      <c r="S11" s="40">
        <f t="shared" si="4"/>
        <v>262.95479603087102</v>
      </c>
      <c r="T11" s="40">
        <f t="shared" si="5"/>
        <v>3155.4575523704525</v>
      </c>
      <c r="U11" s="46" t="s">
        <v>93</v>
      </c>
      <c r="V11" s="54"/>
    </row>
    <row r="12" spans="1:22" s="10" customFormat="1" x14ac:dyDescent="0.25">
      <c r="A12" s="17" t="s">
        <v>82</v>
      </c>
      <c r="B12" s="17" t="s">
        <v>38</v>
      </c>
      <c r="C12" s="16"/>
      <c r="D12" s="16" t="s">
        <v>83</v>
      </c>
      <c r="E12" s="16" t="s">
        <v>3</v>
      </c>
      <c r="F12" s="39">
        <v>280</v>
      </c>
      <c r="G12" s="40">
        <f t="shared" si="0"/>
        <v>154355.01653803748</v>
      </c>
      <c r="H12" s="43">
        <v>2</v>
      </c>
      <c r="I12" s="43">
        <v>1</v>
      </c>
      <c r="J12" s="40">
        <f t="shared" si="10"/>
        <v>826.9018743109151</v>
      </c>
      <c r="K12" s="40">
        <v>6000</v>
      </c>
      <c r="L12" s="41">
        <f t="shared" si="1"/>
        <v>160355.01653803748</v>
      </c>
      <c r="M12" s="42" t="s">
        <v>84</v>
      </c>
      <c r="N12" s="21">
        <v>168</v>
      </c>
      <c r="O12" s="43">
        <f t="shared" si="2"/>
        <v>1807.68</v>
      </c>
      <c r="P12" s="44">
        <f t="shared" si="3"/>
        <v>954.49414605974687</v>
      </c>
      <c r="Q12" s="45">
        <v>500</v>
      </c>
      <c r="R12" s="45">
        <v>558</v>
      </c>
      <c r="S12" s="40">
        <f t="shared" si="4"/>
        <v>378.16979051819186</v>
      </c>
      <c r="T12" s="40">
        <f t="shared" si="5"/>
        <v>4538.0374862183025</v>
      </c>
      <c r="U12" s="46" t="s">
        <v>85</v>
      </c>
      <c r="V12" s="54"/>
    </row>
    <row r="13" spans="1:22" s="10" customFormat="1" x14ac:dyDescent="0.25">
      <c r="A13" s="17" t="s">
        <v>111</v>
      </c>
      <c r="B13" s="17" t="s">
        <v>38</v>
      </c>
      <c r="C13" s="16"/>
      <c r="D13" s="16" t="s">
        <v>86</v>
      </c>
      <c r="E13" s="16"/>
      <c r="F13" s="39">
        <v>290</v>
      </c>
      <c r="G13" s="40">
        <f t="shared" si="0"/>
        <v>159867.69570011026</v>
      </c>
      <c r="H13" s="43">
        <v>2</v>
      </c>
      <c r="I13" s="43">
        <v>1</v>
      </c>
      <c r="J13" s="40">
        <f t="shared" si="10"/>
        <v>1458.911050972793</v>
      </c>
      <c r="K13" s="40">
        <v>1000</v>
      </c>
      <c r="L13" s="41">
        <f t="shared" si="1"/>
        <v>160867.69570011026</v>
      </c>
      <c r="M13" s="42" t="s">
        <v>87</v>
      </c>
      <c r="N13" s="21">
        <v>99</v>
      </c>
      <c r="O13" s="43">
        <f t="shared" si="2"/>
        <v>1065.24</v>
      </c>
      <c r="P13" s="44">
        <f t="shared" si="3"/>
        <v>1624.9262191930329</v>
      </c>
      <c r="Q13" s="45">
        <v>219</v>
      </c>
      <c r="R13" s="45">
        <v>645</v>
      </c>
      <c r="S13" s="40">
        <f t="shared" si="4"/>
        <v>239.2502756339581</v>
      </c>
      <c r="T13" s="40">
        <f t="shared" si="5"/>
        <v>2871.0033076074969</v>
      </c>
      <c r="U13" s="46" t="s">
        <v>88</v>
      </c>
      <c r="V13" s="54"/>
    </row>
    <row r="14" spans="1:22" s="10" customFormat="1" x14ac:dyDescent="0.25">
      <c r="A14" s="17" t="s">
        <v>111</v>
      </c>
      <c r="B14" s="17" t="s">
        <v>38</v>
      </c>
      <c r="C14" s="16"/>
      <c r="D14" s="16" t="s">
        <v>89</v>
      </c>
      <c r="E14" s="16"/>
      <c r="F14" s="39">
        <v>320</v>
      </c>
      <c r="G14" s="40">
        <f t="shared" si="0"/>
        <v>176405.73318632855</v>
      </c>
      <c r="H14" s="43">
        <v>2</v>
      </c>
      <c r="I14" s="43">
        <v>1</v>
      </c>
      <c r="J14" s="40">
        <f t="shared" si="10"/>
        <v>1593.7646686388593</v>
      </c>
      <c r="K14" s="40">
        <v>1000</v>
      </c>
      <c r="L14" s="41">
        <f t="shared" si="1"/>
        <v>177405.73318632855</v>
      </c>
      <c r="M14" s="42" t="s">
        <v>87</v>
      </c>
      <c r="N14" s="21">
        <v>101</v>
      </c>
      <c r="O14" s="43">
        <f t="shared" si="2"/>
        <v>1086.76</v>
      </c>
      <c r="P14" s="44">
        <f t="shared" si="3"/>
        <v>1756.4924077854312</v>
      </c>
      <c r="Q14" s="45">
        <v>241</v>
      </c>
      <c r="R14" s="45">
        <v>617</v>
      </c>
      <c r="S14" s="40">
        <f t="shared" si="4"/>
        <v>246.23300257258359</v>
      </c>
      <c r="T14" s="40">
        <f t="shared" si="5"/>
        <v>2954.796030871003</v>
      </c>
      <c r="U14" s="46"/>
      <c r="V14" s="54"/>
    </row>
    <row r="15" spans="1:22" s="10" customFormat="1" x14ac:dyDescent="0.25">
      <c r="A15" s="17" t="s">
        <v>101</v>
      </c>
      <c r="B15" s="17" t="s">
        <v>38</v>
      </c>
      <c r="C15" s="16"/>
      <c r="D15" s="16" t="s">
        <v>102</v>
      </c>
      <c r="E15" s="16"/>
      <c r="F15" s="39">
        <v>260</v>
      </c>
      <c r="G15" s="40">
        <f t="shared" si="0"/>
        <v>143329.65821389196</v>
      </c>
      <c r="H15" s="43">
        <v>1</v>
      </c>
      <c r="I15" s="43">
        <v>2</v>
      </c>
      <c r="J15" s="40">
        <f t="shared" si="10"/>
        <v>1674.4762954796036</v>
      </c>
      <c r="K15" s="40">
        <v>1000</v>
      </c>
      <c r="L15" s="41">
        <f t="shared" si="1"/>
        <v>144329.65821389196</v>
      </c>
      <c r="M15" s="42" t="s">
        <v>25</v>
      </c>
      <c r="N15" s="21">
        <v>80</v>
      </c>
      <c r="O15" s="43">
        <f t="shared" si="2"/>
        <v>860.8</v>
      </c>
      <c r="P15" s="44">
        <f t="shared" si="3"/>
        <v>1804.1207276736495</v>
      </c>
      <c r="Q15" s="45">
        <v>245</v>
      </c>
      <c r="R15" s="45">
        <v>390</v>
      </c>
      <c r="S15" s="40">
        <f t="shared" si="4"/>
        <v>206.72546857772878</v>
      </c>
      <c r="T15" s="40">
        <f t="shared" si="5"/>
        <v>2480.7056229327454</v>
      </c>
      <c r="U15" s="46"/>
      <c r="V15" s="54"/>
    </row>
    <row r="16" spans="1:22" s="10" customFormat="1" x14ac:dyDescent="0.25">
      <c r="A16" s="17" t="s">
        <v>101</v>
      </c>
      <c r="B16" s="17" t="s">
        <v>38</v>
      </c>
      <c r="C16" s="16"/>
      <c r="D16" s="16" t="s">
        <v>103</v>
      </c>
      <c r="E16" s="16"/>
      <c r="F16" s="39">
        <v>193</v>
      </c>
      <c r="G16" s="40">
        <f t="shared" si="0"/>
        <v>106394.70782800441</v>
      </c>
      <c r="H16" s="43">
        <v>2</v>
      </c>
      <c r="I16" s="43">
        <v>1</v>
      </c>
      <c r="J16" s="40">
        <f t="shared" si="10"/>
        <v>900.58619974456099</v>
      </c>
      <c r="K16" s="40">
        <v>15000</v>
      </c>
      <c r="L16" s="41">
        <f t="shared" si="1"/>
        <v>121394.70782800441</v>
      </c>
      <c r="M16" s="42" t="s">
        <v>25</v>
      </c>
      <c r="N16" s="21">
        <v>101</v>
      </c>
      <c r="O16" s="43">
        <f t="shared" si="2"/>
        <v>1086.76</v>
      </c>
      <c r="P16" s="44">
        <f t="shared" si="3"/>
        <v>1201.9278002772714</v>
      </c>
      <c r="Q16" s="45">
        <v>445</v>
      </c>
      <c r="R16" s="45">
        <v>290</v>
      </c>
      <c r="S16" s="40">
        <f t="shared" si="4"/>
        <v>298.6034546122749</v>
      </c>
      <c r="T16" s="40">
        <f t="shared" si="5"/>
        <v>3583.2414553472991</v>
      </c>
      <c r="U16" s="46"/>
      <c r="V16" s="54"/>
    </row>
    <row r="17" spans="1:25" s="10" customFormat="1" x14ac:dyDescent="0.25">
      <c r="A17" s="17" t="s">
        <v>106</v>
      </c>
      <c r="B17" s="17" t="s">
        <v>38</v>
      </c>
      <c r="C17" s="16"/>
      <c r="D17" s="16" t="s">
        <v>110</v>
      </c>
      <c r="E17" s="16"/>
      <c r="F17" s="39">
        <v>420</v>
      </c>
      <c r="G17" s="40">
        <f t="shared" si="0"/>
        <v>231532.52480705621</v>
      </c>
      <c r="H17" s="43">
        <v>2</v>
      </c>
      <c r="I17" s="43">
        <v>1</v>
      </c>
      <c r="J17" s="40">
        <f t="shared" si="10"/>
        <v>1612.6643518899436</v>
      </c>
      <c r="K17" s="40">
        <v>4000</v>
      </c>
      <c r="L17" s="41">
        <f t="shared" si="1"/>
        <v>235532.52480705621</v>
      </c>
      <c r="M17" s="42" t="s">
        <v>70</v>
      </c>
      <c r="N17" s="21">
        <v>134</v>
      </c>
      <c r="O17" s="43">
        <f t="shared" si="2"/>
        <v>1441.84</v>
      </c>
      <c r="P17" s="44">
        <f t="shared" si="3"/>
        <v>1757.7054090078821</v>
      </c>
      <c r="Q17" s="45">
        <v>300</v>
      </c>
      <c r="R17" s="45">
        <v>680</v>
      </c>
      <c r="S17" s="40">
        <f t="shared" ref="S17:S18" si="11">SUM(((Q17+(R17/3)))*1000)/$D$1</f>
        <v>290.3344358691657</v>
      </c>
      <c r="T17" s="40">
        <f t="shared" si="5"/>
        <v>3484.0132304299887</v>
      </c>
      <c r="U17" s="46"/>
      <c r="V17" s="54"/>
    </row>
    <row r="18" spans="1:25" x14ac:dyDescent="0.25">
      <c r="A18" s="17" t="s">
        <v>111</v>
      </c>
      <c r="B18" s="17" t="s">
        <v>38</v>
      </c>
      <c r="C18" s="16"/>
      <c r="D18" s="16" t="s">
        <v>108</v>
      </c>
      <c r="E18" s="16"/>
      <c r="F18" s="39">
        <v>260</v>
      </c>
      <c r="G18" s="40">
        <f t="shared" si="0"/>
        <v>143329.65821389196</v>
      </c>
      <c r="H18" s="43">
        <v>1</v>
      </c>
      <c r="I18" s="43">
        <v>1</v>
      </c>
      <c r="J18" s="15">
        <f t="shared" si="10"/>
        <v>1850.1457461751072</v>
      </c>
      <c r="K18" s="40">
        <v>3000</v>
      </c>
      <c r="L18" s="41">
        <f t="shared" si="1"/>
        <v>146329.65821389196</v>
      </c>
      <c r="M18" s="42" t="s">
        <v>25</v>
      </c>
      <c r="N18" s="21">
        <v>73</v>
      </c>
      <c r="O18" s="43">
        <f t="shared" si="2"/>
        <v>785.48</v>
      </c>
      <c r="P18" s="44">
        <f t="shared" si="3"/>
        <v>2004.5158659437254</v>
      </c>
      <c r="Q18" s="45">
        <v>330</v>
      </c>
      <c r="R18" s="45">
        <v>600</v>
      </c>
      <c r="S18" s="40">
        <f t="shared" si="11"/>
        <v>292.17199558985669</v>
      </c>
      <c r="T18" s="40">
        <f t="shared" si="5"/>
        <v>3506.0639470782803</v>
      </c>
      <c r="U18" s="46"/>
      <c r="V18" s="18"/>
    </row>
    <row r="19" spans="1:25" x14ac:dyDescent="0.25">
      <c r="A19" s="17" t="s">
        <v>111</v>
      </c>
      <c r="B19" s="17" t="s">
        <v>38</v>
      </c>
      <c r="C19" s="16"/>
      <c r="D19" s="16" t="s">
        <v>109</v>
      </c>
      <c r="E19" s="16"/>
      <c r="F19" s="39">
        <v>250</v>
      </c>
      <c r="G19" s="40">
        <f t="shared" si="0"/>
        <v>137816.97905181919</v>
      </c>
      <c r="H19" s="43">
        <v>1</v>
      </c>
      <c r="I19" s="43">
        <v>1</v>
      </c>
      <c r="J19" s="15">
        <f t="shared" ref="J19" si="12">(G19-(H19*13000000/$D$1)-(I19*2000000/$D$1))/N19</f>
        <v>1774.6295932700004</v>
      </c>
      <c r="K19" s="40">
        <v>6000</v>
      </c>
      <c r="L19" s="41">
        <f t="shared" ref="L19" si="13">G19+K19</f>
        <v>143816.97905181919</v>
      </c>
      <c r="M19" s="42" t="s">
        <v>25</v>
      </c>
      <c r="N19" s="21">
        <v>73</v>
      </c>
      <c r="O19" s="43">
        <f t="shared" si="2"/>
        <v>785.48</v>
      </c>
      <c r="P19" s="44">
        <f t="shared" ref="P19" si="14">L19/N19</f>
        <v>1970.095603449578</v>
      </c>
      <c r="Q19" s="45">
        <v>330</v>
      </c>
      <c r="R19" s="45">
        <v>600</v>
      </c>
      <c r="S19" s="40">
        <f t="shared" ref="S19" si="15">SUM(((Q19+(R19/3)))*1000)/$D$1</f>
        <v>292.17199558985669</v>
      </c>
      <c r="T19" s="40">
        <f t="shared" si="5"/>
        <v>3506.0639470782803</v>
      </c>
      <c r="U19" s="46"/>
      <c r="V19" s="18"/>
    </row>
    <row r="20" spans="1:25" x14ac:dyDescent="0.25">
      <c r="A20" s="17" t="s">
        <v>51</v>
      </c>
      <c r="B20" s="17" t="s">
        <v>38</v>
      </c>
      <c r="C20" s="16"/>
      <c r="D20" s="16" t="s">
        <v>97</v>
      </c>
      <c r="E20" s="16"/>
      <c r="F20" s="39">
        <v>558</v>
      </c>
      <c r="G20" s="40">
        <f>(F20/$D$1)*1000000</f>
        <v>307607.49724366044</v>
      </c>
      <c r="H20" s="43">
        <v>2</v>
      </c>
      <c r="I20" s="43">
        <v>1</v>
      </c>
      <c r="J20" s="15">
        <f t="shared" si="10"/>
        <v>1570.8171805906275</v>
      </c>
      <c r="K20" s="40">
        <v>2000</v>
      </c>
      <c r="L20" s="41">
        <f>G20+K20</f>
        <v>309607.49724366044</v>
      </c>
      <c r="M20" s="42" t="s">
        <v>98</v>
      </c>
      <c r="N20" s="21">
        <v>186</v>
      </c>
      <c r="O20" s="43">
        <f>N20*10.76</f>
        <v>2001.36</v>
      </c>
      <c r="P20" s="44">
        <f>L20/N20</f>
        <v>1664.5564367938734</v>
      </c>
      <c r="Q20" s="45">
        <v>336</v>
      </c>
      <c r="R20" s="45">
        <v>1439</v>
      </c>
      <c r="S20" s="40">
        <f>SUM(((Q20+(R20/3)))*1000)/$D$1</f>
        <v>449.65086365306877</v>
      </c>
      <c r="T20" s="40">
        <f>S20*12</f>
        <v>5395.8103638368248</v>
      </c>
      <c r="U20" s="46" t="s">
        <v>3</v>
      </c>
      <c r="V20" s="18"/>
    </row>
    <row r="21" spans="1:25" x14ac:dyDescent="0.25">
      <c r="A21" s="17" t="s">
        <v>24</v>
      </c>
      <c r="B21" s="17" t="s">
        <v>5</v>
      </c>
      <c r="C21" s="16" t="s">
        <v>95</v>
      </c>
      <c r="D21" s="16" t="s">
        <v>96</v>
      </c>
      <c r="E21" s="16" t="s">
        <v>3</v>
      </c>
      <c r="F21" s="12">
        <v>300</v>
      </c>
      <c r="G21" s="15">
        <f>(F21/$D$1)*1000000</f>
        <v>165380.374862183</v>
      </c>
      <c r="H21" s="7">
        <v>2</v>
      </c>
      <c r="I21" s="7">
        <v>1</v>
      </c>
      <c r="J21" s="15">
        <f t="shared" si="10"/>
        <v>973.66800784661859</v>
      </c>
      <c r="K21" s="15">
        <v>3000</v>
      </c>
      <c r="L21" s="1">
        <f>G21+K21</f>
        <v>168380.374862183</v>
      </c>
      <c r="M21" s="8" t="s">
        <v>22</v>
      </c>
      <c r="N21" s="6">
        <v>154</v>
      </c>
      <c r="O21" s="43">
        <f>N21*10.76</f>
        <v>1657.04</v>
      </c>
      <c r="P21" s="44">
        <f>L21/N21</f>
        <v>1093.3790575466428</v>
      </c>
      <c r="Q21" s="23">
        <v>396</v>
      </c>
      <c r="R21" s="23">
        <v>423</v>
      </c>
      <c r="S21" s="40">
        <f>SUM(((Q21+(R21/3)))*1000)/$D$1</f>
        <v>296.0308710033076</v>
      </c>
      <c r="T21" s="40">
        <f>S21*12</f>
        <v>3552.3704520396914</v>
      </c>
      <c r="U21" s="46" t="s">
        <v>3</v>
      </c>
      <c r="V21" s="18"/>
    </row>
    <row r="22" spans="1:25" x14ac:dyDescent="0.25">
      <c r="A22" s="17" t="s">
        <v>24</v>
      </c>
      <c r="B22" s="17" t="s">
        <v>5</v>
      </c>
      <c r="C22" s="16" t="s">
        <v>15</v>
      </c>
      <c r="D22" s="16" t="s">
        <v>29</v>
      </c>
      <c r="E22" s="16"/>
      <c r="F22" s="39">
        <v>300</v>
      </c>
      <c r="G22" s="40">
        <f>(F22/$D$1)*1000000</f>
        <v>165380.374862183</v>
      </c>
      <c r="H22" s="43">
        <v>2</v>
      </c>
      <c r="I22" s="43">
        <v>1</v>
      </c>
      <c r="J22" s="15">
        <f t="shared" si="10"/>
        <v>980.03185103515852</v>
      </c>
      <c r="K22" s="40">
        <v>1000</v>
      </c>
      <c r="L22" s="41">
        <f>G22+K22</f>
        <v>166380.374862183</v>
      </c>
      <c r="M22" s="42" t="s">
        <v>22</v>
      </c>
      <c r="N22" s="21">
        <v>153</v>
      </c>
      <c r="O22" s="43">
        <f>N22*10.76</f>
        <v>1646.28</v>
      </c>
      <c r="P22" s="44">
        <f>L22/N22</f>
        <v>1087.4534304717843</v>
      </c>
      <c r="Q22" s="45">
        <v>396</v>
      </c>
      <c r="R22" s="45">
        <v>423</v>
      </c>
      <c r="S22" s="40">
        <f>SUM(((Q22+(R22/3)))*1000)/$D$1</f>
        <v>296.0308710033076</v>
      </c>
      <c r="T22" s="40">
        <f>S22*12</f>
        <v>3552.3704520396914</v>
      </c>
      <c r="U22" s="10" t="s">
        <v>17</v>
      </c>
      <c r="V22" s="18" t="s">
        <v>21</v>
      </c>
    </row>
    <row r="23" spans="1:25" x14ac:dyDescent="0.25">
      <c r="A23" s="17" t="s">
        <v>24</v>
      </c>
      <c r="B23" s="17" t="s">
        <v>5</v>
      </c>
      <c r="C23" s="16" t="s">
        <v>16</v>
      </c>
      <c r="D23" s="16" t="s">
        <v>49</v>
      </c>
      <c r="E23" s="16"/>
      <c r="F23" s="39">
        <v>335</v>
      </c>
      <c r="G23" s="40">
        <f>(F23/$D$1)*1000000</f>
        <v>184674.75192943771</v>
      </c>
      <c r="H23" s="43">
        <v>2</v>
      </c>
      <c r="I23" s="43">
        <v>1</v>
      </c>
      <c r="J23" s="15">
        <f t="shared" si="10"/>
        <v>1471.6456545707301</v>
      </c>
      <c r="K23" s="40">
        <v>10000</v>
      </c>
      <c r="L23" s="41">
        <f>G23+K23</f>
        <v>194674.75192943771</v>
      </c>
      <c r="M23" s="42" t="s">
        <v>19</v>
      </c>
      <c r="N23" s="21">
        <v>115</v>
      </c>
      <c r="O23" s="43">
        <f>N23*10.76</f>
        <v>1237.3999999999999</v>
      </c>
      <c r="P23" s="44">
        <f>L23/N23</f>
        <v>1692.8239298211975</v>
      </c>
      <c r="Q23" s="45">
        <v>235</v>
      </c>
      <c r="R23" s="45">
        <v>295</v>
      </c>
      <c r="S23" s="40">
        <f>SUM(((Q23+(R23/3)))*1000)/$D$1</f>
        <v>183.75597206909222</v>
      </c>
      <c r="T23" s="40">
        <f>S23*12</f>
        <v>2205.0716648291068</v>
      </c>
      <c r="U23" s="10" t="s">
        <v>27</v>
      </c>
      <c r="V23" s="18" t="s">
        <v>20</v>
      </c>
    </row>
    <row r="24" spans="1:25" x14ac:dyDescent="0.25">
      <c r="A24" s="19" t="s">
        <v>26</v>
      </c>
      <c r="B24" t="s">
        <v>3</v>
      </c>
      <c r="C24" s="10"/>
      <c r="D24" s="10"/>
      <c r="E24" s="10"/>
      <c r="F24" s="20" t="s">
        <v>3</v>
      </c>
      <c r="G24" s="20">
        <f>AVERAGE(G4:G23)</f>
        <v>176708.93054024255</v>
      </c>
      <c r="H24" s="5"/>
      <c r="I24" s="5"/>
      <c r="J24" s="20">
        <f>AVERAGE(J4:J23)</f>
        <v>1467.0065893269898</v>
      </c>
      <c r="L24" s="20">
        <f>AVERAGE(L4:L23)</f>
        <v>180033.93054024252</v>
      </c>
      <c r="N24" s="51">
        <f>AVERAGE(N4:N23)</f>
        <v>114.5</v>
      </c>
      <c r="O24" s="51">
        <f>AVERAGE(O4:O23)</f>
        <v>1232.02</v>
      </c>
      <c r="P24" s="3">
        <f>AVERAGE(P4:P23)</f>
        <v>1625.6336442269378</v>
      </c>
      <c r="Q24" s="3">
        <f>Q25*1000/$D$1</f>
        <v>173.0760749724366</v>
      </c>
      <c r="R24" s="3">
        <f>R25*1000/$D$1</f>
        <v>338.5060639470783</v>
      </c>
      <c r="S24" s="20">
        <f>AVERAGE(S4:S23)</f>
        <v>285.91142962146279</v>
      </c>
      <c r="T24" s="20">
        <f>AVERAGE(T4:T23)</f>
        <v>3430.9371554575519</v>
      </c>
    </row>
    <row r="25" spans="1:25" x14ac:dyDescent="0.25">
      <c r="B25" t="s">
        <v>3</v>
      </c>
      <c r="C25" s="10"/>
      <c r="D25" s="10"/>
      <c r="E25" s="10"/>
      <c r="F25" s="24">
        <f>AVERAGE(F4:F23)</f>
        <v>320.55</v>
      </c>
      <c r="G25" s="24" t="s">
        <v>3</v>
      </c>
      <c r="H25" s="5"/>
      <c r="I25" s="5"/>
      <c r="J25" s="38">
        <f>AVERAGE(J4:J23)/1000000*$D$1</f>
        <v>2.6611499530391596</v>
      </c>
      <c r="K25" s="12" t="s">
        <v>3</v>
      </c>
      <c r="L25" s="38">
        <f>AVERAGE(L4:L23)/100000000*$D$1</f>
        <v>3.2658154999999995</v>
      </c>
      <c r="M25" s="12"/>
      <c r="N25" s="12"/>
      <c r="O25" s="12"/>
      <c r="P25" s="38">
        <f>P24*$D$1/1000000</f>
        <v>2.948899430627665</v>
      </c>
      <c r="Q25" s="47">
        <f>AVERAGE(Q4:Q23)</f>
        <v>313.95999999999998</v>
      </c>
      <c r="R25" s="47">
        <f>AVERAGE(R4:R23)</f>
        <v>614.04999999999995</v>
      </c>
      <c r="S25" s="47">
        <f>S24*$D$1/1000</f>
        <v>518.64333333333354</v>
      </c>
      <c r="T25" s="47">
        <f>T24*$D$1/1000</f>
        <v>6223.7199999999993</v>
      </c>
    </row>
    <row r="26" spans="1:25" x14ac:dyDescent="0.25">
      <c r="C26" s="10"/>
      <c r="F26" s="4" t="s">
        <v>100</v>
      </c>
      <c r="J26" s="4" t="s">
        <v>100</v>
      </c>
      <c r="L26" s="4" t="s">
        <v>100</v>
      </c>
      <c r="M26" s="8" t="s">
        <v>3</v>
      </c>
      <c r="P26" s="4" t="s">
        <v>100</v>
      </c>
      <c r="Q26" s="4" t="s">
        <v>99</v>
      </c>
      <c r="R26" s="4" t="s">
        <v>99</v>
      </c>
      <c r="S26" s="4" t="s">
        <v>99</v>
      </c>
      <c r="T26" s="4" t="s">
        <v>99</v>
      </c>
    </row>
    <row r="27" spans="1:25" x14ac:dyDescent="0.25">
      <c r="O27" s="7" t="s">
        <v>3</v>
      </c>
      <c r="Q27" s="23" t="s">
        <v>3</v>
      </c>
      <c r="R27" s="23"/>
      <c r="S27" s="23"/>
      <c r="T27" s="23"/>
    </row>
    <row r="28" spans="1:25" x14ac:dyDescent="0.25">
      <c r="A28" s="17" t="s">
        <v>90</v>
      </c>
      <c r="B28" s="17" t="s">
        <v>38</v>
      </c>
      <c r="C28" s="16">
        <v>502</v>
      </c>
      <c r="D28" s="16" t="s">
        <v>92</v>
      </c>
      <c r="E28" s="16">
        <v>1</v>
      </c>
      <c r="F28" s="48">
        <v>305</v>
      </c>
      <c r="G28" s="15">
        <f t="shared" ref="G28" si="16">(F28/$D$1)*1000000</f>
        <v>168136.71444321939</v>
      </c>
      <c r="H28" s="7">
        <v>2</v>
      </c>
      <c r="I28" s="7">
        <v>1</v>
      </c>
      <c r="J28" s="15">
        <f t="shared" ref="J28" si="17">(G28-(H28*13000000/$D$1)-(I28*2000000/$D$1))/N28</f>
        <v>812.24049356072146</v>
      </c>
      <c r="K28" s="15">
        <v>5000</v>
      </c>
      <c r="L28" s="1">
        <f t="shared" ref="L28" si="18">G28+K28</f>
        <v>173136.71444321939</v>
      </c>
      <c r="M28" s="8" t="s">
        <v>91</v>
      </c>
      <c r="N28" s="6">
        <v>188</v>
      </c>
      <c r="O28" s="7">
        <f t="shared" ref="O28" si="19">N28*10.76</f>
        <v>2022.8799999999999</v>
      </c>
      <c r="P28" s="4">
        <f t="shared" ref="P28" si="20">L28/N28</f>
        <v>920.93997044265632</v>
      </c>
      <c r="Q28" s="23">
        <v>420</v>
      </c>
      <c r="R28" s="23">
        <v>492</v>
      </c>
      <c r="S28" s="15">
        <f t="shared" ref="S28" si="21">SUM(((Q28+(R28/3)))*1000)/$D$1</f>
        <v>321.94046306504964</v>
      </c>
      <c r="T28" s="15">
        <f t="shared" ref="T28" si="22">S28*12</f>
        <v>3863.2855567805955</v>
      </c>
      <c r="U28" s="15">
        <v>2000</v>
      </c>
      <c r="V28" s="49">
        <v>0.4</v>
      </c>
      <c r="W28" s="50">
        <f t="shared" ref="W28" si="23">(((U28*12*V28)*0.85)-T28)/L28</f>
        <v>2.4816887954914511E-2</v>
      </c>
      <c r="X28" s="28"/>
      <c r="Y28" s="18"/>
    </row>
    <row r="29" spans="1:25" x14ac:dyDescent="0.25">
      <c r="Q29" s="23"/>
      <c r="R29" s="23"/>
    </row>
    <row r="30" spans="1:25" x14ac:dyDescent="0.25">
      <c r="M30" s="8" t="s">
        <v>3</v>
      </c>
      <c r="Q30" s="23"/>
      <c r="R30" s="23"/>
    </row>
    <row r="31" spans="1:25" x14ac:dyDescent="0.25">
      <c r="J31" s="15" t="s">
        <v>3</v>
      </c>
    </row>
    <row r="32" spans="1:25" x14ac:dyDescent="0.25">
      <c r="O32" s="7" t="s">
        <v>3</v>
      </c>
    </row>
  </sheetData>
  <sortState ref="A4:W18">
    <sortCondition ref="E4:E47"/>
    <sortCondition ref="L4:L47"/>
  </sortState>
  <mergeCells count="1">
    <mergeCell ref="B1:C1"/>
  </mergeCells>
  <hyperlinks>
    <hyperlink ref="V23" r:id="rId1"/>
    <hyperlink ref="V22" r:id="rId2"/>
    <hyperlink ref="V4" r:id="rId3" display="http://www.firstamericanrealtymedellin.com/puentepiedra1203.html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15" sqref="A15"/>
    </sheetView>
  </sheetViews>
  <sheetFormatPr defaultRowHeight="15.75" x14ac:dyDescent="0.25"/>
  <cols>
    <col min="1" max="1" width="42" customWidth="1"/>
    <col min="2" max="2" width="13.375" style="6" customWidth="1"/>
    <col min="3" max="3" width="13.625" style="6" customWidth="1"/>
    <col min="4" max="4" width="23.125" style="6" customWidth="1"/>
  </cols>
  <sheetData>
    <row r="1" spans="1:4" x14ac:dyDescent="0.25">
      <c r="A1" s="2" t="s">
        <v>39</v>
      </c>
      <c r="B1" s="2" t="s">
        <v>40</v>
      </c>
      <c r="C1" s="2" t="s">
        <v>41</v>
      </c>
      <c r="D1" s="2" t="s">
        <v>42</v>
      </c>
    </row>
    <row r="2" spans="1:4" x14ac:dyDescent="0.25">
      <c r="A2" t="s">
        <v>38</v>
      </c>
      <c r="B2" s="6" t="s">
        <v>36</v>
      </c>
      <c r="C2" s="6" t="s">
        <v>37</v>
      </c>
      <c r="D2" s="37" t="s">
        <v>43</v>
      </c>
    </row>
    <row r="4" spans="1:4" x14ac:dyDescent="0.25">
      <c r="A4" t="s">
        <v>44</v>
      </c>
      <c r="B4" s="6" t="s">
        <v>45</v>
      </c>
      <c r="C4" s="6" t="s">
        <v>46</v>
      </c>
      <c r="D4" s="37" t="s">
        <v>47</v>
      </c>
    </row>
    <row r="6" spans="1:4" x14ac:dyDescent="0.25">
      <c r="A6" t="s">
        <v>63</v>
      </c>
      <c r="B6" s="6" t="s">
        <v>48</v>
      </c>
      <c r="C6" s="6" t="s">
        <v>52</v>
      </c>
    </row>
    <row r="8" spans="1:4" x14ac:dyDescent="0.25">
      <c r="A8" t="s">
        <v>53</v>
      </c>
      <c r="B8" s="6" t="s">
        <v>54</v>
      </c>
    </row>
    <row r="9" spans="1:4" x14ac:dyDescent="0.25">
      <c r="A9" s="15" t="s">
        <v>3</v>
      </c>
    </row>
    <row r="10" spans="1:4" x14ac:dyDescent="0.25">
      <c r="A10" t="s">
        <v>31</v>
      </c>
      <c r="B10" s="6" t="s">
        <v>55</v>
      </c>
    </row>
    <row r="12" spans="1:4" x14ac:dyDescent="0.25">
      <c r="A12" t="s">
        <v>57</v>
      </c>
    </row>
    <row r="13" spans="1:4" x14ac:dyDescent="0.25">
      <c r="A13" t="s">
        <v>58</v>
      </c>
    </row>
    <row r="15" spans="1:4" x14ac:dyDescent="0.25">
      <c r="A15" t="s">
        <v>59</v>
      </c>
      <c r="B15" s="6" t="s">
        <v>60</v>
      </c>
    </row>
    <row r="17" spans="1:2" x14ac:dyDescent="0.25">
      <c r="A17" t="s">
        <v>61</v>
      </c>
      <c r="B17" s="6" t="s">
        <v>62</v>
      </c>
    </row>
  </sheetData>
  <hyperlinks>
    <hyperlink ref="D2" r:id="rId1"/>
    <hyperlink ref="D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"/>
    </sheetView>
  </sheetViews>
  <sheetFormatPr defaultRowHeight="15.75" x14ac:dyDescent="0.25"/>
  <cols>
    <col min="4" max="4" width="23.375" customWidth="1"/>
  </cols>
  <sheetData>
    <row r="1" spans="1:4" x14ac:dyDescent="0.25">
      <c r="A1" s="1" t="e">
        <f>Properties!#REF!</f>
        <v>#REF!</v>
      </c>
      <c r="C1" s="1">
        <v>80000</v>
      </c>
      <c r="D1" t="s">
        <v>66</v>
      </c>
    </row>
    <row r="2" spans="1:4" x14ac:dyDescent="0.25">
      <c r="C2" s="1">
        <v>25000</v>
      </c>
      <c r="D2" t="s">
        <v>67</v>
      </c>
    </row>
    <row r="3" spans="1:4" x14ac:dyDescent="0.25">
      <c r="C3" s="1">
        <v>50000</v>
      </c>
      <c r="D3" t="s">
        <v>68</v>
      </c>
    </row>
    <row r="4" spans="1:4" x14ac:dyDescent="0.25">
      <c r="C4" s="1">
        <v>30000</v>
      </c>
      <c r="D4" t="s">
        <v>69</v>
      </c>
    </row>
    <row r="5" spans="1:4" x14ac:dyDescent="0.25">
      <c r="C5" s="1">
        <f>SUM(C1:C4)</f>
        <v>185000</v>
      </c>
      <c r="D5" s="22" t="s">
        <v>11</v>
      </c>
    </row>
    <row r="6" spans="1:4" x14ac:dyDescent="0.25">
      <c r="C6" s="1"/>
    </row>
    <row r="7" spans="1:4" x14ac:dyDescent="0.25">
      <c r="C7" s="1"/>
    </row>
    <row r="8" spans="1:4" x14ac:dyDescent="0.25">
      <c r="C8" s="1"/>
    </row>
    <row r="9" spans="1:4" x14ac:dyDescent="0.25">
      <c r="C9" s="1"/>
    </row>
    <row r="10" spans="1:4" x14ac:dyDescent="0.25">
      <c r="C10" s="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Properties</vt:lpstr>
      <vt:lpstr>Contacts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Harrison</dc:creator>
  <cp:lastModifiedBy>Lee Harrison</cp:lastModifiedBy>
  <dcterms:created xsi:type="dcterms:W3CDTF">2010-01-15T18:01:30Z</dcterms:created>
  <dcterms:modified xsi:type="dcterms:W3CDTF">2015-12-19T17:32:15Z</dcterms:modified>
</cp:coreProperties>
</file>